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75" windowWidth="14175" windowHeight="8535" tabRatio="271"/>
  </bookViews>
  <sheets>
    <sheet name="Example 15-14" sheetId="1" r:id="rId1"/>
    <sheet name="Sheet2" sheetId="2" r:id="rId2"/>
    <sheet name="Sheet3" sheetId="3" r:id="rId3"/>
  </sheets>
  <definedNames>
    <definedName name="solver_adj" localSheetId="0" hidden="1">'Example 15-14'!$D$73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'Example 15-14'!$D$76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F56" i="1"/>
  <c r="B53"/>
  <c r="D30"/>
  <c r="D83" s="1"/>
  <c r="D81"/>
  <c r="D69"/>
  <c r="D71" s="1"/>
  <c r="D33"/>
  <c r="D39" s="1"/>
  <c r="B52"/>
  <c r="B54" s="1"/>
  <c r="D47"/>
  <c r="H56" s="1"/>
  <c r="D28"/>
  <c r="D27"/>
  <c r="D97"/>
  <c r="D87"/>
  <c r="D91" s="1"/>
  <c r="D95" s="1"/>
  <c r="B55" l="1"/>
  <c r="C57" s="1"/>
  <c r="C58" s="1"/>
  <c r="C61" s="1"/>
  <c r="D65" s="1"/>
  <c r="D76" s="1"/>
  <c r="E47"/>
  <c r="D37"/>
  <c r="D41" s="1"/>
  <c r="D43" s="1"/>
  <c r="G57"/>
  <c r="G58" s="1"/>
</calcChain>
</file>

<file path=xl/sharedStrings.xml><?xml version="1.0" encoding="utf-8"?>
<sst xmlns="http://schemas.openxmlformats.org/spreadsheetml/2006/main" count="167" uniqueCount="136">
  <si>
    <t>DELP=</t>
  </si>
  <si>
    <t>Fittings</t>
  </si>
  <si>
    <t>Elbows</t>
  </si>
  <si>
    <t>Threaded,standard</t>
  </si>
  <si>
    <t>r/D=1</t>
  </si>
  <si>
    <t>Km</t>
  </si>
  <si>
    <t>K1</t>
  </si>
  <si>
    <t>Kd</t>
  </si>
  <si>
    <t>Threaded,long radius</t>
  </si>
  <si>
    <t>r/D=1.5</t>
  </si>
  <si>
    <t>Flanged, welded, bends</t>
  </si>
  <si>
    <t>3-K Constants for Loss Coefficients for Valves and Fittings</t>
  </si>
  <si>
    <t>r/D=2</t>
  </si>
  <si>
    <t>r/D=4</t>
  </si>
  <si>
    <t>r/D=6</t>
  </si>
  <si>
    <t>Mitered</t>
  </si>
  <si>
    <t>3 weld, 30o</t>
  </si>
  <si>
    <t>2 weld, 45o</t>
  </si>
  <si>
    <t>1 weld, 90o</t>
  </si>
  <si>
    <t xml:space="preserve">Elbows </t>
  </si>
  <si>
    <t>45o</t>
  </si>
  <si>
    <t>90o</t>
  </si>
  <si>
    <t>Threaded, standard</t>
  </si>
  <si>
    <t>Long radius</t>
  </si>
  <si>
    <t>Mitered,  1 weld</t>
  </si>
  <si>
    <t>Mitered,  2 weld</t>
  </si>
  <si>
    <t>22.5o</t>
  </si>
  <si>
    <t>Threaded,</t>
  </si>
  <si>
    <t>Close return bend</t>
  </si>
  <si>
    <t>180o</t>
  </si>
  <si>
    <t>Flanged</t>
  </si>
  <si>
    <t>All</t>
  </si>
  <si>
    <t>Tees</t>
  </si>
  <si>
    <t>Through-branch</t>
  </si>
  <si>
    <t>(as elbow</t>
  </si>
  <si>
    <t>Threaded</t>
  </si>
  <si>
    <t>Stub-in-branch</t>
  </si>
  <si>
    <t>Run through threaded</t>
  </si>
  <si>
    <t>Valves</t>
  </si>
  <si>
    <t>Angle valve-45o</t>
  </si>
  <si>
    <t>Angle valve-90o</t>
  </si>
  <si>
    <t>Globe valve</t>
  </si>
  <si>
    <t>Standard, beta=1</t>
  </si>
  <si>
    <t>Plug valve</t>
  </si>
  <si>
    <t>Branch flow</t>
  </si>
  <si>
    <t>Straight through</t>
  </si>
  <si>
    <t>Three-way</t>
  </si>
  <si>
    <t>(flow through)</t>
  </si>
  <si>
    <t>Gate valve</t>
  </si>
  <si>
    <t>Ball valve</t>
  </si>
  <si>
    <t>Diaphragm</t>
  </si>
  <si>
    <t>Dam-type</t>
  </si>
  <si>
    <t>Swing check**</t>
  </si>
  <si>
    <t>Standard, β=1</t>
  </si>
  <si>
    <t>Full line size β=1</t>
  </si>
  <si>
    <t>Lift check**</t>
  </si>
  <si>
    <t>Vmin=40ρ-½</t>
  </si>
  <si>
    <t>characteristics are:</t>
  </si>
  <si>
    <t>Ratio of specific heats, (Cp/Cv) =</t>
  </si>
  <si>
    <t>Compressibility factor, Z=</t>
  </si>
  <si>
    <t>Vapor rate=</t>
  </si>
  <si>
    <t>cP</t>
  </si>
  <si>
    <t>Solution</t>
  </si>
  <si>
    <t>Gas velocity, v=</t>
  </si>
  <si>
    <t>Sonic velocity, vs=</t>
  </si>
  <si>
    <t>Mach Number</t>
  </si>
  <si>
    <t>Reynold Number:</t>
  </si>
  <si>
    <t>Re=</t>
  </si>
  <si>
    <t>Friction Factor, f</t>
  </si>
  <si>
    <t>Pipe roughness e=</t>
  </si>
  <si>
    <t>e/D</t>
  </si>
  <si>
    <t>A=</t>
  </si>
  <si>
    <t>SUM=</t>
  </si>
  <si>
    <t>K=f*L/D=</t>
  </si>
  <si>
    <t>(G/C1)^2=</t>
  </si>
  <si>
    <t>Pressure drop, DELP</t>
  </si>
  <si>
    <t xml:space="preserve">Using Solver Method </t>
  </si>
  <si>
    <t>F(P2)=</t>
  </si>
  <si>
    <t>Loss coefficient due to pipe</t>
  </si>
  <si>
    <t>Since the process is isothermal  (i.e. constant temperature, T2 = T1)</t>
  </si>
  <si>
    <t>T2</t>
  </si>
  <si>
    <t>Pipe Area</t>
  </si>
  <si>
    <t>A4=</t>
  </si>
  <si>
    <t>A5=</t>
  </si>
  <si>
    <t>Churchill  friction factor, f=</t>
  </si>
  <si>
    <t>Pipe roughness, ε=</t>
  </si>
  <si>
    <t>Inlet Mach number, v/vs=</t>
  </si>
  <si>
    <t>Fanning Friction factor=</t>
  </si>
  <si>
    <t>Type of fluid flow:</t>
  </si>
  <si>
    <t>in an 800 ft long, 6 in. Sch. 40 horizontal carbon steel pipe. Undere these conditions, the</t>
  </si>
  <si>
    <t>Calculate the total pressure drop under isothermal flow conditions. Check for critical flow.</t>
  </si>
  <si>
    <t>Operating temperature,oF=</t>
  </si>
  <si>
    <t>ft.</t>
  </si>
  <si>
    <t>psia</t>
  </si>
  <si>
    <t>lb/h</t>
  </si>
  <si>
    <t>Pipe internal diameter, 6-inch, Schedule 40=</t>
  </si>
  <si>
    <t>in.</t>
  </si>
  <si>
    <t>Pipe nominal diameter, 6-inch, Schedule 40=</t>
  </si>
  <si>
    <t>lb/lbmol</t>
  </si>
  <si>
    <t>ft/s</t>
  </si>
  <si>
    <t xml:space="preserve">Pipe Length, </t>
  </si>
  <si>
    <t>Absolute temperature =</t>
  </si>
  <si>
    <t>psi</t>
  </si>
  <si>
    <t>C=</t>
  </si>
  <si>
    <t>Critical pressure, Pc=</t>
  </si>
  <si>
    <t>Density of propane</t>
  </si>
  <si>
    <t>Universal Gas constant</t>
  </si>
  <si>
    <t>R/Mw=</t>
  </si>
  <si>
    <t>Acceleration due to gravity, g=</t>
  </si>
  <si>
    <t>Density of the vapor at the exit =:</t>
  </si>
  <si>
    <t>Flow velocity at pipe exit =</t>
  </si>
  <si>
    <t xml:space="preserve">Loss coefficient for a straight pipe: </t>
  </si>
  <si>
    <r>
      <t>Propane vapor at 90</t>
    </r>
    <r>
      <rPr>
        <vertAlign val="superscript"/>
        <sz val="16"/>
        <rFont val="Times New Roman"/>
        <family val="1"/>
      </rPr>
      <t>o</t>
    </r>
    <r>
      <rPr>
        <sz val="16"/>
        <rFont val="Times New Roman"/>
        <family val="1"/>
      </rPr>
      <t>F and an upstream pressure P</t>
    </r>
    <r>
      <rPr>
        <vertAlign val="subscript"/>
        <sz val="16"/>
        <rFont val="Times New Roman"/>
        <family val="1"/>
      </rPr>
      <t>1</t>
    </r>
    <r>
      <rPr>
        <sz val="16"/>
        <rFont val="Times New Roman"/>
        <family val="1"/>
      </rPr>
      <t xml:space="preserve"> = 20 psig flows at a rate of 24,000 lb/h </t>
    </r>
  </si>
  <si>
    <r>
      <t>viscosity µ = 0.0094 cP and the gas compressibility factor Z</t>
    </r>
    <r>
      <rPr>
        <vertAlign val="subscript"/>
        <sz val="16"/>
        <rFont val="Times New Roman"/>
        <family val="1"/>
      </rPr>
      <t>1</t>
    </r>
    <r>
      <rPr>
        <sz val="16"/>
        <rFont val="Times New Roman"/>
        <family val="1"/>
      </rPr>
      <t xml:space="preserve"> = 0.958</t>
    </r>
  </si>
  <si>
    <r>
      <t>D</t>
    </r>
    <r>
      <rPr>
        <vertAlign val="subscript"/>
        <sz val="16"/>
        <rFont val="Times New Roman"/>
        <family val="1"/>
      </rPr>
      <t>n</t>
    </r>
    <r>
      <rPr>
        <sz val="16"/>
        <rFont val="Times New Roman"/>
        <family val="1"/>
      </rPr>
      <t xml:space="preserve"> = Nominal pipe diameter</t>
    </r>
  </si>
  <si>
    <r>
      <t>o</t>
    </r>
    <r>
      <rPr>
        <sz val="16"/>
        <rFont val="Times New Roman"/>
        <family val="1"/>
      </rPr>
      <t>F</t>
    </r>
  </si>
  <si>
    <r>
      <t>Fluid density, lb/ft.</t>
    </r>
    <r>
      <rPr>
        <vertAlign val="superscript"/>
        <sz val="16"/>
        <rFont val="Times New Roman"/>
        <family val="1"/>
      </rPr>
      <t>3</t>
    </r>
    <r>
      <rPr>
        <sz val="16"/>
        <rFont val="Times New Roman"/>
        <family val="1"/>
      </rPr>
      <t xml:space="preserve"> =</t>
    </r>
  </si>
  <si>
    <r>
      <t>lb/ft</t>
    </r>
    <r>
      <rPr>
        <vertAlign val="superscript"/>
        <sz val="16"/>
        <rFont val="Times New Roman"/>
        <family val="1"/>
      </rPr>
      <t>3</t>
    </r>
  </si>
  <si>
    <t>viscosity, m =</t>
  </si>
  <si>
    <r>
      <t>Operating pressure, P</t>
    </r>
    <r>
      <rPr>
        <vertAlign val="subscript"/>
        <sz val="16"/>
        <rFont val="Times New Roman"/>
        <family val="1"/>
      </rPr>
      <t>1</t>
    </r>
    <r>
      <rPr>
        <sz val="16"/>
        <rFont val="Times New Roman"/>
        <family val="1"/>
      </rPr>
      <t>=</t>
    </r>
  </si>
  <si>
    <r>
      <t>(ft.lb</t>
    </r>
    <r>
      <rPr>
        <vertAlign val="subscript"/>
        <sz val="16"/>
        <rFont val="Times New Roman"/>
        <family val="1"/>
      </rPr>
      <t>f</t>
    </r>
    <r>
      <rPr>
        <sz val="16"/>
        <rFont val="Times New Roman"/>
        <family val="1"/>
      </rPr>
      <t>)/[</t>
    </r>
    <r>
      <rPr>
        <vertAlign val="superscript"/>
        <sz val="16"/>
        <rFont val="Times New Roman"/>
        <family val="1"/>
      </rPr>
      <t>o</t>
    </r>
    <r>
      <rPr>
        <sz val="16"/>
        <rFont val="Times New Roman"/>
        <family val="1"/>
      </rPr>
      <t>R (lb mol)]</t>
    </r>
  </si>
  <si>
    <r>
      <t>Molecular weight of C</t>
    </r>
    <r>
      <rPr>
        <vertAlign val="subscript"/>
        <sz val="16"/>
        <rFont val="Times New Roman"/>
        <family val="1"/>
      </rPr>
      <t>3</t>
    </r>
    <r>
      <rPr>
        <sz val="16"/>
        <rFont val="Times New Roman"/>
        <family val="1"/>
      </rPr>
      <t>H</t>
    </r>
    <r>
      <rPr>
        <vertAlign val="subscript"/>
        <sz val="16"/>
        <rFont val="Times New Roman"/>
        <family val="1"/>
      </rPr>
      <t>8</t>
    </r>
    <r>
      <rPr>
        <sz val="16"/>
        <rFont val="Times New Roman"/>
        <family val="1"/>
      </rPr>
      <t>=</t>
    </r>
  </si>
  <si>
    <r>
      <t>ft/s</t>
    </r>
    <r>
      <rPr>
        <vertAlign val="superscript"/>
        <sz val="16"/>
        <rFont val="Times New Roman"/>
        <family val="1"/>
      </rPr>
      <t>2</t>
    </r>
  </si>
  <si>
    <r>
      <t>o</t>
    </r>
    <r>
      <rPr>
        <sz val="16"/>
        <rFont val="Times New Roman"/>
        <family val="1"/>
      </rPr>
      <t>R</t>
    </r>
  </si>
  <si>
    <r>
      <t>ft</t>
    </r>
    <r>
      <rPr>
        <vertAlign val="superscript"/>
        <sz val="16"/>
        <rFont val="Times New Roman"/>
        <family val="1"/>
      </rPr>
      <t>2</t>
    </r>
  </si>
  <si>
    <r>
      <t>Vmin=35ρ</t>
    </r>
    <r>
      <rPr>
        <vertAlign val="superscript"/>
        <sz val="16"/>
        <rFont val="Times New Roman"/>
        <family val="1"/>
      </rPr>
      <t>-½</t>
    </r>
  </si>
  <si>
    <r>
      <t>* See equation  ** Units of ρ are lb</t>
    </r>
    <r>
      <rPr>
        <vertAlign val="subscript"/>
        <sz val="16"/>
        <rFont val="Times New Roman"/>
        <family val="1"/>
      </rPr>
      <t>m</t>
    </r>
    <r>
      <rPr>
        <sz val="16"/>
        <rFont val="Times New Roman"/>
        <family val="1"/>
      </rPr>
      <t>/ft</t>
    </r>
    <r>
      <rPr>
        <vertAlign val="superscript"/>
        <sz val="16"/>
        <rFont val="Times New Roman"/>
        <family val="1"/>
      </rPr>
      <t>3</t>
    </r>
    <r>
      <rPr>
        <sz val="16"/>
        <rFont val="Times New Roman"/>
        <family val="1"/>
      </rPr>
      <t xml:space="preserve"> [Darby, Chem. Eng., 101-104, (July 199)]</t>
    </r>
  </si>
  <si>
    <r>
      <t>Chen's Friction factor, f</t>
    </r>
    <r>
      <rPr>
        <vertAlign val="subscript"/>
        <sz val="16"/>
        <rFont val="Times New Roman"/>
        <family val="1"/>
      </rPr>
      <t>C</t>
    </r>
    <r>
      <rPr>
        <sz val="16"/>
        <rFont val="Times New Roman"/>
        <family val="1"/>
      </rPr>
      <t>=</t>
    </r>
  </si>
  <si>
    <r>
      <t>Darcy Friction factor, f</t>
    </r>
    <r>
      <rPr>
        <vertAlign val="subscript"/>
        <sz val="16"/>
        <rFont val="Times New Roman"/>
        <family val="1"/>
      </rPr>
      <t>D</t>
    </r>
    <r>
      <rPr>
        <sz val="16"/>
        <rFont val="Times New Roman"/>
        <family val="1"/>
      </rPr>
      <t xml:space="preserve"> =</t>
    </r>
  </si>
  <si>
    <r>
      <t>Total loss coefficient K</t>
    </r>
    <r>
      <rPr>
        <vertAlign val="subscript"/>
        <sz val="16"/>
        <rFont val="Times New Roman"/>
        <family val="1"/>
      </rPr>
      <t xml:space="preserve">TOTAL  </t>
    </r>
    <r>
      <rPr>
        <sz val="16"/>
        <rFont val="Times New Roman"/>
        <family val="1"/>
      </rPr>
      <t>=</t>
    </r>
  </si>
  <si>
    <r>
      <t>Outlet pressure, P</t>
    </r>
    <r>
      <rPr>
        <vertAlign val="subscript"/>
        <sz val="16"/>
        <rFont val="Times New Roman"/>
        <family val="1"/>
      </rPr>
      <t>2</t>
    </r>
  </si>
  <si>
    <r>
      <t>P</t>
    </r>
    <r>
      <rPr>
        <vertAlign val="subscript"/>
        <sz val="16"/>
        <rFont val="Times New Roman"/>
        <family val="1"/>
      </rPr>
      <t>2</t>
    </r>
    <r>
      <rPr>
        <sz val="16"/>
        <rFont val="Times New Roman"/>
        <family val="1"/>
      </rPr>
      <t>=</t>
    </r>
  </si>
  <si>
    <r>
      <t>Exit Mach number., Ma</t>
    </r>
    <r>
      <rPr>
        <vertAlign val="subscript"/>
        <sz val="16"/>
        <rFont val="Times New Roman"/>
        <family val="1"/>
      </rPr>
      <t>2</t>
    </r>
    <r>
      <rPr>
        <sz val="16"/>
        <rFont val="Times New Roman"/>
        <family val="1"/>
      </rPr>
      <t>=</t>
    </r>
  </si>
  <si>
    <t>e/3.7D</t>
  </si>
  <si>
    <t>ρ=</t>
  </si>
  <si>
    <t>Example 15-14. Pressure drop for compressible fluid flow using isothermal condition by A.K. Coker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</si>
</sst>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6"/>
      <name val="Times New Roman"/>
      <family val="1"/>
    </font>
    <font>
      <b/>
      <sz val="16"/>
      <name val="Times New Roman"/>
      <family val="1"/>
    </font>
    <font>
      <vertAlign val="superscript"/>
      <sz val="16"/>
      <name val="Times New Roman"/>
      <family val="1"/>
    </font>
    <font>
      <vertAlign val="subscript"/>
      <sz val="16"/>
      <name val="Times New Roman"/>
      <family val="1"/>
    </font>
    <font>
      <sz val="16"/>
      <color indexed="8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0" fontId="5" fillId="2" borderId="0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7" fillId="0" borderId="0" xfId="0" applyFont="1"/>
    <xf numFmtId="0" fontId="6" fillId="0" borderId="0" xfId="0" applyFont="1"/>
    <xf numFmtId="0" fontId="1" fillId="4" borderId="0" xfId="0" applyFont="1" applyFill="1"/>
    <xf numFmtId="0" fontId="0" fillId="4" borderId="0" xfId="0" applyFill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0</xdr:row>
      <xdr:rowOff>95250</xdr:rowOff>
    </xdr:from>
    <xdr:ext cx="76200" cy="200025"/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4648200" y="9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0"/>
  <sheetViews>
    <sheetView tabSelected="1" workbookViewId="0">
      <selection activeCell="A18" sqref="A18"/>
    </sheetView>
  </sheetViews>
  <sheetFormatPr defaultRowHeight="12.75"/>
  <cols>
    <col min="1" max="1" width="20.5703125" customWidth="1"/>
    <col min="2" max="2" width="16.42578125" customWidth="1"/>
    <col min="3" max="3" width="13.42578125" customWidth="1"/>
    <col min="4" max="4" width="17.85546875" customWidth="1"/>
    <col min="5" max="5" width="10.7109375" customWidth="1"/>
    <col min="6" max="6" width="24.28515625" customWidth="1"/>
    <col min="7" max="7" width="12.42578125" bestFit="1" customWidth="1"/>
    <col min="8" max="8" width="13" customWidth="1"/>
    <col min="9" max="9" width="10.28515625" customWidth="1"/>
    <col min="10" max="10" width="23.85546875" customWidth="1"/>
    <col min="11" max="11" width="19.5703125" customWidth="1"/>
    <col min="12" max="13" width="23.7109375" customWidth="1"/>
  </cols>
  <sheetData>
    <row r="1" spans="1:20" ht="20.25">
      <c r="A1" s="2" t="s">
        <v>135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2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ht="25.5">
      <c r="A3" s="1" t="s">
        <v>112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0" ht="20.25">
      <c r="A4" s="1" t="s">
        <v>89</v>
      </c>
      <c r="B4" s="1"/>
      <c r="C4" s="1"/>
      <c r="D4" s="1"/>
      <c r="E4" s="1"/>
      <c r="F4" s="1"/>
      <c r="G4" s="1"/>
      <c r="H4" s="1"/>
    </row>
    <row r="5" spans="1:20" ht="23.25">
      <c r="A5" s="1" t="s">
        <v>113</v>
      </c>
      <c r="B5" s="1"/>
      <c r="C5" s="1"/>
      <c r="D5" s="1"/>
      <c r="E5" s="1"/>
      <c r="F5" s="1"/>
      <c r="G5" s="1"/>
      <c r="H5" s="1"/>
    </row>
    <row r="6" spans="1:20" ht="20.25">
      <c r="A6" s="1" t="s">
        <v>90</v>
      </c>
      <c r="B6" s="1"/>
      <c r="C6" s="1"/>
      <c r="D6" s="1"/>
      <c r="E6" s="1"/>
      <c r="F6" s="1"/>
      <c r="G6" s="1"/>
      <c r="H6" s="1"/>
    </row>
    <row r="7" spans="1:20" ht="20.25">
      <c r="A7" s="1" t="s">
        <v>57</v>
      </c>
      <c r="B7" s="1"/>
      <c r="C7" s="1"/>
      <c r="D7" s="1"/>
      <c r="E7" s="1"/>
      <c r="F7" s="1"/>
      <c r="G7" s="1"/>
      <c r="H7" s="1"/>
    </row>
    <row r="8" spans="1:20" ht="20.25">
      <c r="A8" s="1"/>
      <c r="B8" s="1"/>
      <c r="C8" s="1"/>
      <c r="D8" s="1"/>
      <c r="E8" s="1"/>
      <c r="F8" s="1"/>
      <c r="G8" s="1"/>
      <c r="H8" s="1"/>
    </row>
    <row r="9" spans="1:20" ht="24">
      <c r="A9" s="1" t="s">
        <v>91</v>
      </c>
      <c r="B9" s="1"/>
      <c r="C9" s="1"/>
      <c r="D9" s="1">
        <v>90</v>
      </c>
      <c r="E9" s="3" t="s">
        <v>115</v>
      </c>
      <c r="F9" s="1"/>
      <c r="G9" s="1"/>
      <c r="H9" s="1"/>
      <c r="K9" s="9"/>
      <c r="L9" s="10" t="s">
        <v>11</v>
      </c>
      <c r="M9" s="10"/>
      <c r="N9" s="10"/>
      <c r="O9" s="9"/>
      <c r="P9" s="9"/>
      <c r="Q9" s="13"/>
      <c r="R9" s="14"/>
      <c r="S9" s="14"/>
      <c r="T9" s="14"/>
    </row>
    <row r="10" spans="1:20" ht="24">
      <c r="A10" s="1" t="s">
        <v>116</v>
      </c>
      <c r="B10" s="1"/>
      <c r="C10" s="1"/>
      <c r="D10" s="1"/>
      <c r="E10" s="1" t="s">
        <v>117</v>
      </c>
      <c r="F10" s="1"/>
      <c r="G10" s="1"/>
      <c r="H10" s="1"/>
      <c r="K10" s="9"/>
      <c r="L10" s="9"/>
      <c r="M10" s="9"/>
      <c r="N10" s="9"/>
      <c r="O10" s="9"/>
      <c r="P10" s="9"/>
      <c r="Q10" s="13"/>
      <c r="R10" s="14"/>
      <c r="S10" s="14"/>
      <c r="T10" s="14"/>
    </row>
    <row r="11" spans="1:20" ht="20.25">
      <c r="A11" s="1" t="s">
        <v>58</v>
      </c>
      <c r="B11" s="1"/>
      <c r="C11" s="1"/>
      <c r="D11" s="1">
        <v>1.1499999999999999</v>
      </c>
      <c r="E11" s="1"/>
      <c r="F11" s="1"/>
      <c r="G11" s="1"/>
      <c r="H11" s="1"/>
      <c r="K11" s="10"/>
      <c r="L11" s="9"/>
      <c r="M11" s="9"/>
      <c r="N11" s="9"/>
      <c r="O11" s="10"/>
      <c r="P11" s="10"/>
      <c r="Q11" s="13"/>
      <c r="R11" s="14"/>
      <c r="S11" s="14"/>
      <c r="T11" s="14"/>
    </row>
    <row r="12" spans="1:20" ht="23.25">
      <c r="A12" s="1" t="s">
        <v>118</v>
      </c>
      <c r="B12" s="1"/>
      <c r="C12" s="1"/>
      <c r="D12" s="1">
        <v>9.4000000000000004E-3</v>
      </c>
      <c r="E12" s="1" t="s">
        <v>61</v>
      </c>
      <c r="F12" s="1"/>
      <c r="G12" s="1"/>
      <c r="H12" s="1"/>
      <c r="K12" s="10"/>
      <c r="L12" s="10" t="s">
        <v>114</v>
      </c>
      <c r="M12" s="10"/>
      <c r="N12" s="10"/>
      <c r="O12" s="10"/>
      <c r="P12" s="10"/>
      <c r="Q12" s="13"/>
      <c r="R12" s="14"/>
      <c r="S12" s="14"/>
      <c r="T12" s="14"/>
    </row>
    <row r="13" spans="1:20" ht="20.25">
      <c r="A13" s="1" t="s">
        <v>59</v>
      </c>
      <c r="B13" s="1"/>
      <c r="C13" s="1"/>
      <c r="D13" s="1">
        <v>0.95799999999999996</v>
      </c>
      <c r="E13" s="1"/>
      <c r="F13" s="1"/>
      <c r="G13" s="1"/>
      <c r="H13" s="1"/>
      <c r="K13" s="10"/>
      <c r="L13" s="9"/>
      <c r="M13" s="10"/>
      <c r="N13" s="9"/>
      <c r="O13" s="9"/>
      <c r="P13" s="9"/>
      <c r="Q13" s="13"/>
      <c r="R13" s="14"/>
      <c r="S13" s="14"/>
      <c r="T13" s="14"/>
    </row>
    <row r="14" spans="1:20" ht="20.25">
      <c r="A14" s="1" t="s">
        <v>100</v>
      </c>
      <c r="B14" s="1"/>
      <c r="C14" s="1"/>
      <c r="D14" s="1">
        <v>800</v>
      </c>
      <c r="E14" s="1" t="s">
        <v>92</v>
      </c>
      <c r="F14" s="1"/>
      <c r="G14" s="1"/>
      <c r="H14" s="1"/>
      <c r="K14" s="9"/>
      <c r="L14" s="10" t="s">
        <v>1</v>
      </c>
      <c r="M14" s="9"/>
      <c r="N14" s="10" t="s">
        <v>5</v>
      </c>
      <c r="O14" s="10" t="s">
        <v>6</v>
      </c>
      <c r="P14" s="10" t="s">
        <v>7</v>
      </c>
      <c r="Q14" s="13"/>
      <c r="R14" s="14"/>
      <c r="S14" s="14"/>
      <c r="T14" s="14"/>
    </row>
    <row r="15" spans="1:20" ht="23.25">
      <c r="A15" s="1" t="s">
        <v>119</v>
      </c>
      <c r="B15" s="1"/>
      <c r="C15" s="1"/>
      <c r="D15" s="1">
        <v>34.700000000000003</v>
      </c>
      <c r="E15" s="1" t="s">
        <v>93</v>
      </c>
      <c r="F15" s="1"/>
      <c r="G15" s="1"/>
      <c r="H15" s="1"/>
      <c r="K15" s="10" t="s">
        <v>2</v>
      </c>
      <c r="L15" s="10" t="s">
        <v>3</v>
      </c>
      <c r="M15" s="10" t="s">
        <v>4</v>
      </c>
      <c r="N15" s="10">
        <v>800</v>
      </c>
      <c r="O15" s="10">
        <v>0.14000000000000001</v>
      </c>
      <c r="P15" s="10">
        <v>4</v>
      </c>
      <c r="Q15" s="13"/>
      <c r="R15" s="14"/>
      <c r="S15" s="14"/>
      <c r="T15" s="14"/>
    </row>
    <row r="16" spans="1:20" ht="20.25">
      <c r="A16" s="1" t="s">
        <v>60</v>
      </c>
      <c r="B16" s="1"/>
      <c r="C16" s="1"/>
      <c r="D16" s="1">
        <v>24000</v>
      </c>
      <c r="E16" s="1" t="s">
        <v>94</v>
      </c>
      <c r="F16" s="1"/>
      <c r="G16" s="1"/>
      <c r="H16" s="1"/>
      <c r="K16" s="10" t="s">
        <v>21</v>
      </c>
      <c r="L16" s="10" t="s">
        <v>8</v>
      </c>
      <c r="M16" s="10" t="s">
        <v>9</v>
      </c>
      <c r="N16" s="10">
        <v>800</v>
      </c>
      <c r="O16" s="10">
        <v>7.0999999999999994E-2</v>
      </c>
      <c r="P16" s="10">
        <v>4.2</v>
      </c>
      <c r="Q16" s="13"/>
      <c r="R16" s="14"/>
      <c r="S16" s="14"/>
      <c r="T16" s="14"/>
    </row>
    <row r="17" spans="1:20" ht="25.5">
      <c r="A17" s="1" t="s">
        <v>106</v>
      </c>
      <c r="B17" s="1"/>
      <c r="C17" s="1"/>
      <c r="D17" s="1">
        <v>1544</v>
      </c>
      <c r="E17" s="1" t="s">
        <v>120</v>
      </c>
      <c r="F17" s="1"/>
      <c r="G17" s="1"/>
      <c r="H17" s="1"/>
      <c r="K17" s="10"/>
      <c r="L17" s="10" t="s">
        <v>10</v>
      </c>
      <c r="M17" s="10" t="s">
        <v>4</v>
      </c>
      <c r="N17" s="10">
        <v>800</v>
      </c>
      <c r="O17" s="10">
        <v>9.0999999999999998E-2</v>
      </c>
      <c r="P17" s="10">
        <v>4</v>
      </c>
      <c r="Q17" s="13"/>
      <c r="R17" s="14"/>
      <c r="S17" s="14"/>
      <c r="T17" s="14"/>
    </row>
    <row r="18" spans="1:20" ht="20.25">
      <c r="A18" s="1" t="s">
        <v>95</v>
      </c>
      <c r="B18" s="1"/>
      <c r="C18" s="1"/>
      <c r="D18" s="1">
        <v>6.0650000000000004</v>
      </c>
      <c r="E18" s="1" t="s">
        <v>96</v>
      </c>
      <c r="F18" s="1"/>
      <c r="G18" s="1"/>
      <c r="H18" s="1"/>
      <c r="K18" s="10"/>
      <c r="L18" s="10"/>
      <c r="M18" s="10" t="s">
        <v>12</v>
      </c>
      <c r="N18" s="10">
        <v>800</v>
      </c>
      <c r="O18" s="10">
        <v>5.6000000000000001E-2</v>
      </c>
      <c r="P18" s="10">
        <v>3.9</v>
      </c>
      <c r="Q18" s="13"/>
      <c r="R18" s="14"/>
      <c r="S18" s="14"/>
      <c r="T18" s="14"/>
    </row>
    <row r="19" spans="1:20" ht="20.25">
      <c r="A19" s="1" t="s">
        <v>97</v>
      </c>
      <c r="B19" s="1"/>
      <c r="C19" s="1"/>
      <c r="D19" s="1">
        <v>6</v>
      </c>
      <c r="E19" s="1" t="s">
        <v>96</v>
      </c>
      <c r="F19" s="1"/>
      <c r="G19" s="1"/>
      <c r="H19" s="1"/>
      <c r="K19" s="10"/>
      <c r="L19" s="10"/>
      <c r="M19" s="10" t="s">
        <v>13</v>
      </c>
      <c r="N19" s="10">
        <v>800</v>
      </c>
      <c r="O19" s="10">
        <v>6.6000000000000003E-2</v>
      </c>
      <c r="P19" s="10">
        <v>3.9</v>
      </c>
      <c r="Q19" s="13"/>
      <c r="R19" s="14"/>
      <c r="S19" s="14"/>
      <c r="T19" s="14"/>
    </row>
    <row r="20" spans="1:20" ht="20.25">
      <c r="A20" s="1" t="s">
        <v>85</v>
      </c>
      <c r="B20" s="1"/>
      <c r="C20" s="1"/>
      <c r="D20" s="1">
        <v>1.8E-3</v>
      </c>
      <c r="E20" s="1" t="s">
        <v>96</v>
      </c>
      <c r="F20" s="1"/>
      <c r="G20" s="1"/>
      <c r="H20" s="1"/>
      <c r="K20" s="10"/>
      <c r="L20" s="10"/>
      <c r="M20" s="10" t="s">
        <v>14</v>
      </c>
      <c r="N20" s="10">
        <v>800</v>
      </c>
      <c r="O20" s="10">
        <v>7.4999999999999997E-2</v>
      </c>
      <c r="P20" s="10">
        <v>4.2</v>
      </c>
      <c r="Q20" s="13"/>
      <c r="R20" s="14"/>
      <c r="S20" s="14"/>
      <c r="T20" s="14"/>
    </row>
    <row r="21" spans="1:20" ht="20.25">
      <c r="A21" s="1" t="s">
        <v>59</v>
      </c>
      <c r="B21" s="1"/>
      <c r="C21" s="1"/>
      <c r="D21" s="1">
        <v>0.95799999999999996</v>
      </c>
      <c r="E21" s="1"/>
      <c r="F21" s="1"/>
      <c r="G21" s="1"/>
      <c r="H21" s="1"/>
      <c r="K21" s="9"/>
      <c r="L21" s="10" t="s">
        <v>15</v>
      </c>
      <c r="M21" s="10" t="s">
        <v>18</v>
      </c>
      <c r="N21" s="10">
        <v>1000</v>
      </c>
      <c r="O21" s="10">
        <v>0.27</v>
      </c>
      <c r="P21" s="10">
        <v>4</v>
      </c>
      <c r="Q21" s="13"/>
      <c r="R21" s="14"/>
      <c r="S21" s="14"/>
      <c r="T21" s="14"/>
    </row>
    <row r="22" spans="1:20" ht="23.25">
      <c r="A22" s="1" t="s">
        <v>121</v>
      </c>
      <c r="B22" s="1"/>
      <c r="C22" s="1"/>
      <c r="D22" s="1">
        <v>44</v>
      </c>
      <c r="E22" s="1" t="s">
        <v>98</v>
      </c>
      <c r="F22" s="1"/>
      <c r="G22" s="1"/>
      <c r="H22" s="1"/>
      <c r="K22" s="9"/>
      <c r="L22" s="10"/>
      <c r="M22" s="10" t="s">
        <v>17</v>
      </c>
      <c r="N22" s="10">
        <v>800</v>
      </c>
      <c r="O22" s="10">
        <v>6.8000000000000005E-2</v>
      </c>
      <c r="P22" s="10">
        <v>4.0999999999999996</v>
      </c>
      <c r="Q22" s="13"/>
      <c r="R22" s="14"/>
      <c r="S22" s="14"/>
      <c r="T22" s="14"/>
    </row>
    <row r="23" spans="1:20" ht="24">
      <c r="A23" s="1" t="s">
        <v>108</v>
      </c>
      <c r="B23" s="1"/>
      <c r="C23" s="1"/>
      <c r="D23" s="1">
        <v>32.173999999999999</v>
      </c>
      <c r="E23" s="1" t="s">
        <v>122</v>
      </c>
      <c r="F23" s="1"/>
      <c r="G23" s="1"/>
      <c r="H23" s="1"/>
      <c r="K23" s="9"/>
      <c r="L23" s="10"/>
      <c r="M23" s="10" t="s">
        <v>16</v>
      </c>
      <c r="N23" s="10">
        <v>800</v>
      </c>
      <c r="O23" s="10">
        <v>3.5000000000000003E-2</v>
      </c>
      <c r="P23" s="10">
        <v>4.2</v>
      </c>
      <c r="Q23" s="13"/>
      <c r="R23" s="14"/>
      <c r="S23" s="14"/>
      <c r="T23" s="14"/>
    </row>
    <row r="24" spans="1:20" ht="20.25">
      <c r="A24" s="1"/>
      <c r="B24" s="1"/>
      <c r="C24" s="1"/>
      <c r="D24" s="1"/>
      <c r="E24" s="1"/>
      <c r="F24" s="1"/>
      <c r="G24" s="1"/>
      <c r="H24" s="1"/>
      <c r="K24" s="10" t="s">
        <v>19</v>
      </c>
      <c r="L24" s="10" t="s">
        <v>22</v>
      </c>
      <c r="M24" s="10" t="s">
        <v>4</v>
      </c>
      <c r="N24" s="10">
        <v>500</v>
      </c>
      <c r="O24" s="10">
        <v>7.0999999999999994E-2</v>
      </c>
      <c r="P24" s="10">
        <v>4.2</v>
      </c>
      <c r="Q24" s="13"/>
      <c r="R24" s="14"/>
      <c r="S24" s="14"/>
      <c r="T24" s="14"/>
    </row>
    <row r="25" spans="1:20" ht="20.25">
      <c r="A25" s="2" t="s">
        <v>62</v>
      </c>
      <c r="B25" s="4"/>
      <c r="C25" s="1"/>
      <c r="D25" s="1"/>
      <c r="E25" s="1"/>
      <c r="F25" s="1"/>
      <c r="G25" s="1"/>
      <c r="H25" s="1"/>
      <c r="K25" s="10" t="s">
        <v>20</v>
      </c>
      <c r="L25" s="10" t="s">
        <v>23</v>
      </c>
      <c r="M25" s="10" t="s">
        <v>9</v>
      </c>
      <c r="N25" s="10">
        <v>500</v>
      </c>
      <c r="O25" s="10">
        <v>5.1999999999999998E-2</v>
      </c>
      <c r="P25" s="10">
        <v>4</v>
      </c>
      <c r="Q25" s="13"/>
      <c r="R25" s="14"/>
      <c r="S25" s="14"/>
      <c r="T25" s="14"/>
    </row>
    <row r="26" spans="1:20" ht="20.25">
      <c r="A26" s="1"/>
      <c r="B26" s="1"/>
      <c r="C26" s="1"/>
      <c r="D26" s="1"/>
      <c r="E26" s="1"/>
      <c r="F26" s="1"/>
      <c r="G26" s="1"/>
      <c r="H26" s="1"/>
      <c r="K26" s="10"/>
      <c r="L26" s="10" t="s">
        <v>24</v>
      </c>
      <c r="M26" s="10" t="s">
        <v>20</v>
      </c>
      <c r="N26" s="10">
        <v>500</v>
      </c>
      <c r="O26" s="10">
        <v>8.5999999999999993E-2</v>
      </c>
      <c r="P26" s="10">
        <v>4</v>
      </c>
      <c r="Q26" s="13"/>
      <c r="R26" s="14"/>
      <c r="S26" s="14"/>
      <c r="T26" s="14"/>
    </row>
    <row r="27" spans="1:20" ht="24">
      <c r="A27" s="1" t="s">
        <v>101</v>
      </c>
      <c r="B27" s="1"/>
      <c r="C27" s="1"/>
      <c r="D27" s="1">
        <f>D9+460</f>
        <v>550</v>
      </c>
      <c r="E27" s="3" t="s">
        <v>123</v>
      </c>
      <c r="F27" s="1"/>
      <c r="G27" s="1"/>
      <c r="H27" s="1"/>
      <c r="K27" s="10"/>
      <c r="L27" s="10" t="s">
        <v>25</v>
      </c>
      <c r="M27" s="10" t="s">
        <v>26</v>
      </c>
      <c r="N27" s="10">
        <v>500</v>
      </c>
      <c r="O27" s="10">
        <v>5.1999999999999998E-2</v>
      </c>
      <c r="P27" s="10">
        <v>4</v>
      </c>
      <c r="Q27" s="13"/>
      <c r="R27" s="14"/>
      <c r="S27" s="14"/>
      <c r="T27" s="14"/>
    </row>
    <row r="28" spans="1:20" ht="24">
      <c r="A28" s="1" t="s">
        <v>81</v>
      </c>
      <c r="B28" s="1"/>
      <c r="C28" s="1"/>
      <c r="D28" s="1">
        <f>ROUND(PI()*(D18/12)^2/4,4)</f>
        <v>0.2006</v>
      </c>
      <c r="E28" s="1" t="s">
        <v>124</v>
      </c>
      <c r="F28" s="1"/>
      <c r="G28" s="1"/>
      <c r="H28" s="1"/>
      <c r="K28" s="10" t="s">
        <v>2</v>
      </c>
      <c r="L28" s="10" t="s">
        <v>27</v>
      </c>
      <c r="M28" s="10"/>
      <c r="N28" s="10"/>
      <c r="O28" s="10"/>
      <c r="P28" s="10"/>
      <c r="Q28" s="13"/>
      <c r="R28" s="14"/>
      <c r="S28" s="14"/>
      <c r="T28" s="14"/>
    </row>
    <row r="29" spans="1:20" ht="20.25">
      <c r="A29" s="1"/>
      <c r="B29" s="1"/>
      <c r="C29" s="1"/>
      <c r="D29" s="1"/>
      <c r="E29" s="1"/>
      <c r="F29" s="1"/>
      <c r="G29" s="1"/>
      <c r="H29" s="1"/>
      <c r="K29" s="10"/>
      <c r="L29" s="10" t="s">
        <v>28</v>
      </c>
      <c r="M29" s="10" t="s">
        <v>4</v>
      </c>
      <c r="N29" s="10">
        <v>1000</v>
      </c>
      <c r="O29" s="10">
        <v>0.23</v>
      </c>
      <c r="P29" s="10">
        <v>4</v>
      </c>
      <c r="Q29" s="13"/>
      <c r="R29" s="14"/>
      <c r="S29" s="14"/>
      <c r="T29" s="14"/>
    </row>
    <row r="30" spans="1:20" ht="20.25">
      <c r="A30" s="1" t="s">
        <v>107</v>
      </c>
      <c r="B30" s="1"/>
      <c r="C30" s="1"/>
      <c r="D30" s="1">
        <f>D17/D22</f>
        <v>35.090909090909093</v>
      </c>
      <c r="E30" s="1"/>
      <c r="F30" s="1"/>
      <c r="G30" s="1"/>
      <c r="H30" s="1"/>
      <c r="K30" s="10" t="s">
        <v>29</v>
      </c>
      <c r="L30" s="10" t="s">
        <v>30</v>
      </c>
      <c r="M30" s="10" t="s">
        <v>4</v>
      </c>
      <c r="N30" s="10">
        <v>1000</v>
      </c>
      <c r="O30" s="10">
        <v>0.12</v>
      </c>
      <c r="P30" s="10">
        <v>4</v>
      </c>
      <c r="Q30" s="13"/>
      <c r="R30" s="14"/>
      <c r="S30" s="14"/>
      <c r="T30" s="14"/>
    </row>
    <row r="31" spans="1:20" ht="20.25">
      <c r="A31" s="1"/>
      <c r="B31" s="1"/>
      <c r="C31" s="1"/>
      <c r="D31" s="1"/>
      <c r="E31" s="1"/>
      <c r="F31" s="1"/>
      <c r="G31" s="1"/>
      <c r="H31" s="1"/>
      <c r="K31" s="10"/>
      <c r="L31" s="10" t="s">
        <v>31</v>
      </c>
      <c r="M31" s="10" t="s">
        <v>9</v>
      </c>
      <c r="N31" s="10">
        <v>1000</v>
      </c>
      <c r="O31" s="10">
        <v>0.1</v>
      </c>
      <c r="P31" s="10">
        <v>4</v>
      </c>
      <c r="Q31" s="13"/>
      <c r="R31" s="14"/>
      <c r="S31" s="14"/>
      <c r="T31" s="14"/>
    </row>
    <row r="32" spans="1:20" ht="20.25">
      <c r="A32" s="1" t="s">
        <v>105</v>
      </c>
      <c r="B32" s="1"/>
      <c r="C32" s="1"/>
      <c r="D32" s="1"/>
      <c r="E32" s="1"/>
      <c r="F32" s="1"/>
      <c r="G32" s="1"/>
      <c r="H32" s="1"/>
      <c r="K32" s="10" t="s">
        <v>32</v>
      </c>
      <c r="L32" s="10" t="s">
        <v>33</v>
      </c>
      <c r="M32" s="10"/>
      <c r="N32" s="10"/>
      <c r="O32" s="10"/>
      <c r="P32" s="10"/>
      <c r="Q32" s="13"/>
      <c r="R32" s="14"/>
      <c r="S32" s="14"/>
      <c r="T32" s="14"/>
    </row>
    <row r="33" spans="1:20" ht="24.75">
      <c r="A33" s="15" t="s">
        <v>134</v>
      </c>
      <c r="B33" s="1"/>
      <c r="C33" s="1"/>
      <c r="D33" s="1">
        <f>ROUND((D22*D15)/(10.72*D27),4)</f>
        <v>0.25900000000000001</v>
      </c>
      <c r="E33" s="1" t="s">
        <v>117</v>
      </c>
      <c r="F33" s="1"/>
      <c r="G33" s="1"/>
      <c r="H33" s="1"/>
      <c r="K33" s="10"/>
      <c r="L33" s="10" t="s">
        <v>34</v>
      </c>
      <c r="M33" s="10"/>
      <c r="N33" s="10"/>
      <c r="O33" s="10"/>
      <c r="P33" s="10"/>
      <c r="Q33" s="13"/>
      <c r="R33" s="14"/>
      <c r="S33" s="14"/>
      <c r="T33" s="14"/>
    </row>
    <row r="34" spans="1:20" ht="20.25">
      <c r="A34" s="1"/>
      <c r="B34" s="1"/>
      <c r="C34" s="1"/>
      <c r="D34" s="1"/>
      <c r="E34" s="1"/>
      <c r="F34" s="1"/>
      <c r="G34" s="1"/>
      <c r="H34" s="1"/>
      <c r="K34" s="10"/>
      <c r="L34" s="10" t="s">
        <v>35</v>
      </c>
      <c r="M34" s="10" t="s">
        <v>4</v>
      </c>
      <c r="N34" s="10">
        <v>500</v>
      </c>
      <c r="O34" s="10">
        <v>0.27400000000000002</v>
      </c>
      <c r="P34" s="10">
        <v>4</v>
      </c>
      <c r="Q34" s="13"/>
      <c r="R34" s="14"/>
      <c r="S34" s="14"/>
      <c r="T34" s="14"/>
    </row>
    <row r="35" spans="1:20" ht="20.25">
      <c r="A35" s="1" t="s">
        <v>65</v>
      </c>
      <c r="B35" s="1"/>
      <c r="C35" s="1"/>
      <c r="D35" s="1"/>
      <c r="E35" s="1"/>
      <c r="F35" s="1"/>
      <c r="G35" s="1"/>
      <c r="H35" s="1"/>
      <c r="K35" s="10"/>
      <c r="L35" s="10"/>
      <c r="M35" s="10" t="s">
        <v>9</v>
      </c>
      <c r="N35" s="10">
        <v>800</v>
      </c>
      <c r="O35" s="10">
        <v>0.14000000000000001</v>
      </c>
      <c r="P35" s="10">
        <v>4</v>
      </c>
      <c r="Q35" s="13"/>
      <c r="R35" s="14"/>
      <c r="S35" s="14"/>
      <c r="T35" s="14"/>
    </row>
    <row r="36" spans="1:20" ht="20.25">
      <c r="A36" s="1"/>
      <c r="B36" s="1"/>
      <c r="C36" s="1"/>
      <c r="D36" s="1"/>
      <c r="E36" s="1"/>
      <c r="F36" s="1"/>
      <c r="G36" s="1"/>
      <c r="H36" s="1"/>
      <c r="K36" s="10"/>
      <c r="L36" s="10" t="s">
        <v>30</v>
      </c>
      <c r="M36" s="10" t="s">
        <v>4</v>
      </c>
      <c r="N36" s="10">
        <v>800</v>
      </c>
      <c r="O36" s="10">
        <v>0.28000000000000003</v>
      </c>
      <c r="P36" s="10">
        <v>4</v>
      </c>
      <c r="Q36" s="13"/>
      <c r="R36" s="14"/>
      <c r="S36" s="14"/>
      <c r="T36" s="14"/>
    </row>
    <row r="37" spans="1:20" ht="20.25">
      <c r="A37" s="1" t="s">
        <v>63</v>
      </c>
      <c r="B37" s="1"/>
      <c r="C37" s="1"/>
      <c r="D37" s="1">
        <f>ROUND(D16/(D33*D28*3600),2)</f>
        <v>128.32</v>
      </c>
      <c r="E37" s="1" t="s">
        <v>99</v>
      </c>
      <c r="F37" s="1"/>
      <c r="G37" s="1"/>
      <c r="H37" s="1"/>
      <c r="K37" s="10"/>
      <c r="L37" s="10" t="s">
        <v>36</v>
      </c>
      <c r="M37" s="10"/>
      <c r="N37" s="10">
        <v>1000</v>
      </c>
      <c r="O37" s="10">
        <v>0.34</v>
      </c>
      <c r="P37" s="10">
        <v>4</v>
      </c>
      <c r="Q37" s="13"/>
      <c r="R37" s="14"/>
      <c r="S37" s="14"/>
      <c r="T37" s="14"/>
    </row>
    <row r="38" spans="1:20" ht="20.25">
      <c r="A38" s="1"/>
      <c r="B38" s="1"/>
      <c r="C38" s="1"/>
      <c r="D38" s="1"/>
      <c r="E38" s="1"/>
      <c r="F38" s="1"/>
      <c r="G38" s="1"/>
      <c r="H38" s="1"/>
      <c r="K38" s="10"/>
      <c r="L38" s="10" t="s">
        <v>37</v>
      </c>
      <c r="M38" s="10" t="s">
        <v>4</v>
      </c>
      <c r="N38" s="10">
        <v>200</v>
      </c>
      <c r="O38" s="10">
        <v>9.0999999999999998E-2</v>
      </c>
      <c r="P38" s="10">
        <v>4</v>
      </c>
      <c r="Q38" s="13"/>
      <c r="R38" s="14"/>
      <c r="S38" s="14"/>
      <c r="T38" s="14"/>
    </row>
    <row r="39" spans="1:20" ht="20.25">
      <c r="A39" s="1" t="s">
        <v>64</v>
      </c>
      <c r="B39" s="1"/>
      <c r="C39" s="1"/>
      <c r="D39" s="1">
        <f>ROUND(SQRT(D13*D11*D23*144*D15/D33),2)</f>
        <v>826.95</v>
      </c>
      <c r="E39" s="1" t="s">
        <v>99</v>
      </c>
      <c r="F39" s="1"/>
      <c r="G39" s="1"/>
      <c r="H39" s="1"/>
      <c r="K39" s="10"/>
      <c r="L39" s="10" t="s">
        <v>30</v>
      </c>
      <c r="M39" s="10" t="s">
        <v>4</v>
      </c>
      <c r="N39" s="10">
        <v>150</v>
      </c>
      <c r="O39" s="10">
        <v>1.7000000000000001E-2</v>
      </c>
      <c r="P39" s="10">
        <v>4</v>
      </c>
      <c r="Q39" s="13"/>
      <c r="R39" s="14"/>
      <c r="S39" s="14"/>
      <c r="T39" s="14"/>
    </row>
    <row r="40" spans="1:20" ht="20.25">
      <c r="A40" s="1"/>
      <c r="B40" s="1"/>
      <c r="C40" s="1"/>
      <c r="D40" s="1"/>
      <c r="E40" s="1"/>
      <c r="F40" s="1"/>
      <c r="G40" s="1"/>
      <c r="H40" s="1"/>
      <c r="K40" s="10"/>
      <c r="L40" s="10" t="s">
        <v>36</v>
      </c>
      <c r="M40" s="10"/>
      <c r="N40" s="10">
        <v>100</v>
      </c>
      <c r="O40" s="10">
        <v>0</v>
      </c>
      <c r="P40" s="10">
        <v>0</v>
      </c>
      <c r="Q40" s="13"/>
      <c r="R40" s="14"/>
      <c r="S40" s="14"/>
      <c r="T40" s="14"/>
    </row>
    <row r="41" spans="1:20" ht="20.25">
      <c r="A41" s="1" t="s">
        <v>86</v>
      </c>
      <c r="B41" s="1"/>
      <c r="C41" s="1"/>
      <c r="D41" s="1">
        <f>ROUND(D37/D39,4)</f>
        <v>0.1552</v>
      </c>
      <c r="E41" s="1"/>
      <c r="F41" s="1"/>
      <c r="G41" s="1"/>
      <c r="H41" s="1"/>
      <c r="K41" s="10" t="s">
        <v>38</v>
      </c>
      <c r="L41" s="10" t="s">
        <v>39</v>
      </c>
      <c r="M41" s="10" t="s">
        <v>54</v>
      </c>
      <c r="N41" s="10">
        <v>950</v>
      </c>
      <c r="O41" s="10">
        <v>0.25</v>
      </c>
      <c r="P41" s="10">
        <v>4</v>
      </c>
      <c r="Q41" s="13"/>
      <c r="R41" s="14"/>
      <c r="S41" s="14"/>
      <c r="T41" s="14"/>
    </row>
    <row r="42" spans="1:20" ht="20.25">
      <c r="A42" s="1"/>
      <c r="B42" s="1"/>
      <c r="C42" s="1"/>
      <c r="D42" s="1"/>
      <c r="E42" s="1"/>
      <c r="F42" s="1"/>
      <c r="G42" s="1"/>
      <c r="H42" s="1"/>
      <c r="K42" s="10"/>
      <c r="L42" s="10" t="s">
        <v>40</v>
      </c>
      <c r="M42" s="10" t="s">
        <v>54</v>
      </c>
      <c r="N42" s="10">
        <v>1000</v>
      </c>
      <c r="O42" s="10">
        <v>0.69</v>
      </c>
      <c r="P42" s="10">
        <v>4</v>
      </c>
      <c r="Q42" s="13"/>
      <c r="R42" s="14"/>
      <c r="S42" s="14"/>
      <c r="T42" s="14"/>
    </row>
    <row r="43" spans="1:20" ht="20.25">
      <c r="A43" s="1" t="s">
        <v>88</v>
      </c>
      <c r="B43" s="1"/>
      <c r="C43" s="1"/>
      <c r="D43" s="1" t="str">
        <f>IF(D41=1,"flow is sonic",IF(D41&lt;1,"flow is subsonic",IF( D41&gt;1,"flow is supersonic")))</f>
        <v>flow is subsonic</v>
      </c>
      <c r="E43" s="1"/>
      <c r="F43" s="1"/>
      <c r="G43" s="1"/>
      <c r="H43" s="1"/>
      <c r="K43" s="10"/>
      <c r="L43" s="10" t="s">
        <v>41</v>
      </c>
      <c r="M43" s="10" t="s">
        <v>42</v>
      </c>
      <c r="N43" s="10">
        <v>1500</v>
      </c>
      <c r="O43" s="10">
        <v>1.7</v>
      </c>
      <c r="P43" s="10">
        <v>3.6</v>
      </c>
      <c r="Q43" s="13"/>
      <c r="R43" s="14"/>
      <c r="S43" s="14"/>
      <c r="T43" s="14"/>
    </row>
    <row r="44" spans="1:20" ht="20.25">
      <c r="A44" s="1"/>
      <c r="B44" s="1"/>
      <c r="C44" s="1"/>
      <c r="D44" s="1"/>
      <c r="E44" s="1"/>
      <c r="F44" s="1"/>
      <c r="G44" s="1"/>
      <c r="H44" s="1"/>
      <c r="K44" s="10"/>
      <c r="L44" s="10" t="s">
        <v>43</v>
      </c>
      <c r="M44" s="10" t="s">
        <v>44</v>
      </c>
      <c r="N44" s="10">
        <v>500</v>
      </c>
      <c r="O44" s="10">
        <v>0.41</v>
      </c>
      <c r="P44" s="10">
        <v>4</v>
      </c>
      <c r="Q44" s="13"/>
      <c r="R44" s="14"/>
      <c r="S44" s="14"/>
      <c r="T44" s="14"/>
    </row>
    <row r="45" spans="1:20" ht="20.25">
      <c r="A45" s="1" t="s">
        <v>66</v>
      </c>
      <c r="B45" s="1"/>
      <c r="C45" s="1"/>
      <c r="D45" s="1"/>
      <c r="E45" s="1"/>
      <c r="F45" s="1"/>
      <c r="G45" s="1"/>
      <c r="H45" s="1"/>
      <c r="K45" s="10"/>
      <c r="L45" s="10" t="s">
        <v>43</v>
      </c>
      <c r="M45" s="10" t="s">
        <v>45</v>
      </c>
      <c r="N45" s="10">
        <v>300</v>
      </c>
      <c r="O45" s="10">
        <v>8.4000000000000005E-2</v>
      </c>
      <c r="P45" s="10">
        <v>3.9</v>
      </c>
      <c r="Q45" s="13"/>
      <c r="R45" s="14"/>
      <c r="S45" s="14"/>
      <c r="T45" s="14"/>
    </row>
    <row r="46" spans="1:20" ht="20.25">
      <c r="A46" s="1"/>
      <c r="B46" s="1"/>
      <c r="C46" s="1"/>
      <c r="D46" s="1"/>
      <c r="E46" s="1"/>
      <c r="F46" s="1"/>
      <c r="G46" s="1"/>
      <c r="H46" s="1"/>
      <c r="K46" s="10"/>
      <c r="L46" s="10" t="s">
        <v>43</v>
      </c>
      <c r="M46" s="10" t="s">
        <v>46</v>
      </c>
      <c r="N46" s="10">
        <v>300</v>
      </c>
      <c r="O46" s="10">
        <v>0.14000000000000001</v>
      </c>
      <c r="P46" s="10">
        <v>4</v>
      </c>
      <c r="Q46" s="13"/>
      <c r="R46" s="14"/>
      <c r="S46" s="14"/>
      <c r="T46" s="14"/>
    </row>
    <row r="47" spans="1:20" ht="20.25">
      <c r="A47" s="1" t="s">
        <v>67</v>
      </c>
      <c r="B47" s="1"/>
      <c r="C47" s="1"/>
      <c r="D47" s="1">
        <f>ROUND((6.31*D16)/(D18*D12),0)</f>
        <v>2656329</v>
      </c>
      <c r="E47" s="1" t="str">
        <f>IF(D47&gt;2000,"TURBULENT","LAMINAR")</f>
        <v>TURBULENT</v>
      </c>
      <c r="F47" s="1"/>
      <c r="G47" s="1"/>
      <c r="H47" s="1"/>
      <c r="K47" s="10"/>
      <c r="L47" s="10"/>
      <c r="M47" s="10" t="s">
        <v>47</v>
      </c>
      <c r="N47" s="10"/>
      <c r="O47" s="10"/>
      <c r="P47" s="10"/>
      <c r="Q47" s="13"/>
      <c r="R47" s="14"/>
      <c r="S47" s="14"/>
      <c r="T47" s="14"/>
    </row>
    <row r="48" spans="1:20" ht="20.25">
      <c r="A48" s="1"/>
      <c r="B48" s="1"/>
      <c r="C48" s="1"/>
      <c r="D48" s="1"/>
      <c r="E48" s="1"/>
      <c r="F48" s="1"/>
      <c r="G48" s="1"/>
      <c r="H48" s="1"/>
      <c r="K48" s="10"/>
      <c r="L48" s="10" t="s">
        <v>48</v>
      </c>
      <c r="M48" s="10" t="s">
        <v>53</v>
      </c>
      <c r="N48" s="10">
        <v>300</v>
      </c>
      <c r="O48" s="10">
        <v>3.6999999999999998E-2</v>
      </c>
      <c r="P48" s="10">
        <v>3.9</v>
      </c>
      <c r="Q48" s="13"/>
      <c r="R48" s="14"/>
      <c r="S48" s="14"/>
      <c r="T48" s="14"/>
    </row>
    <row r="49" spans="1:20" ht="20.25">
      <c r="A49" s="1" t="s">
        <v>68</v>
      </c>
      <c r="B49" s="1"/>
      <c r="C49" s="1"/>
      <c r="D49" s="1"/>
      <c r="E49" s="1"/>
      <c r="F49" s="1"/>
      <c r="G49" s="1"/>
      <c r="H49" s="1"/>
      <c r="I49" s="1"/>
      <c r="J49" s="1"/>
      <c r="K49" s="10"/>
      <c r="L49" s="10" t="s">
        <v>49</v>
      </c>
      <c r="M49" s="10" t="s">
        <v>53</v>
      </c>
      <c r="N49" s="10">
        <v>300</v>
      </c>
      <c r="O49" s="10">
        <v>1.7000000000000001E-2</v>
      </c>
      <c r="P49" s="10">
        <v>4</v>
      </c>
      <c r="Q49" s="13"/>
      <c r="R49" s="14"/>
      <c r="S49" s="14"/>
      <c r="T49" s="14"/>
    </row>
    <row r="50" spans="1:20" ht="20.25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 t="s">
        <v>50</v>
      </c>
      <c r="M50" s="10" t="s">
        <v>51</v>
      </c>
      <c r="N50" s="10">
        <v>1000</v>
      </c>
      <c r="O50" s="10">
        <v>0.69</v>
      </c>
      <c r="P50" s="10">
        <v>4.9000000000000004</v>
      </c>
      <c r="Q50" s="13"/>
      <c r="R50" s="14"/>
      <c r="S50" s="14"/>
      <c r="T50" s="14"/>
    </row>
    <row r="51" spans="1:20" ht="24">
      <c r="A51" s="1" t="s">
        <v>69</v>
      </c>
      <c r="B51" s="1">
        <v>1.8E-3</v>
      </c>
      <c r="C51" s="1" t="s">
        <v>96</v>
      </c>
      <c r="D51" s="1"/>
      <c r="E51" s="1"/>
      <c r="F51" s="1"/>
      <c r="G51" s="1"/>
      <c r="H51" s="1"/>
      <c r="I51" s="1"/>
      <c r="J51" s="1"/>
      <c r="K51" s="10"/>
      <c r="L51" s="10" t="s">
        <v>52</v>
      </c>
      <c r="M51" s="10" t="s">
        <v>125</v>
      </c>
      <c r="N51" s="10">
        <v>1500</v>
      </c>
      <c r="O51" s="10">
        <v>0.46</v>
      </c>
      <c r="P51" s="10">
        <v>4</v>
      </c>
      <c r="Q51" s="13"/>
      <c r="R51" s="14"/>
      <c r="S51" s="14"/>
      <c r="T51" s="14"/>
    </row>
    <row r="52" spans="1:20" ht="20.25">
      <c r="A52" s="1" t="s">
        <v>70</v>
      </c>
      <c r="B52" s="11">
        <f>B51/D18</f>
        <v>2.9678483099752678E-4</v>
      </c>
      <c r="C52" s="1"/>
      <c r="D52" s="1"/>
      <c r="E52" s="1"/>
      <c r="F52" s="1"/>
      <c r="G52" s="1"/>
      <c r="H52" s="1"/>
      <c r="I52" s="1"/>
      <c r="J52" s="1"/>
      <c r="K52" s="10"/>
      <c r="L52" s="10" t="s">
        <v>55</v>
      </c>
      <c r="M52" s="10" t="s">
        <v>56</v>
      </c>
      <c r="N52" s="10">
        <v>2000</v>
      </c>
      <c r="O52" s="10">
        <v>2.85</v>
      </c>
      <c r="P52" s="10">
        <v>3.8</v>
      </c>
      <c r="Q52" s="13"/>
      <c r="R52" s="14"/>
      <c r="S52" s="14"/>
      <c r="T52" s="14"/>
    </row>
    <row r="53" spans="1:20" ht="25.5">
      <c r="A53" s="1" t="s">
        <v>133</v>
      </c>
      <c r="B53" s="12">
        <f>B52/3.7</f>
        <v>8.0212116485818045E-5</v>
      </c>
      <c r="C53" s="1"/>
      <c r="D53" s="1"/>
      <c r="E53" s="1"/>
      <c r="F53" s="1"/>
      <c r="G53" s="1"/>
      <c r="H53" s="1"/>
      <c r="I53" s="1"/>
      <c r="J53" s="1"/>
      <c r="K53" s="1" t="s">
        <v>126</v>
      </c>
      <c r="M53" s="1"/>
      <c r="N53" s="1"/>
      <c r="O53" s="1"/>
      <c r="P53" s="1"/>
      <c r="Q53" s="1"/>
      <c r="R53" s="1"/>
    </row>
    <row r="54" spans="1:20" ht="20.25">
      <c r="A54" s="1" t="s">
        <v>71</v>
      </c>
      <c r="B54" s="11">
        <f>B52/3.7+(6.7/D47)^0.9</f>
        <v>8.9366174177619144E-5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20" ht="20.25">
      <c r="A55" s="1" t="s">
        <v>72</v>
      </c>
      <c r="B55" s="11">
        <f>-4*LOG10(B52/3.7-(5.02/D47*LOG10(B54)))</f>
        <v>16.224762141872944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20" ht="20.25">
      <c r="D56" s="1"/>
      <c r="E56" s="1" t="s">
        <v>82</v>
      </c>
      <c r="F56" s="1">
        <f>ROUND((2.457*LN(1/((7/D47)^0.9+(0.27*B52))))^16,3)</f>
        <v>5.7121981221864997E+21</v>
      </c>
      <c r="G56" s="1" t="s">
        <v>83</v>
      </c>
      <c r="H56" s="1">
        <f>(37530/D47)^16</f>
        <v>2.520851208556282E-30</v>
      </c>
      <c r="I56" s="1"/>
      <c r="J56" s="1"/>
      <c r="K56" s="1"/>
      <c r="L56" s="1"/>
      <c r="M56" s="1"/>
      <c r="N56" s="1"/>
      <c r="O56" s="1"/>
    </row>
    <row r="57" spans="1:20" ht="23.25">
      <c r="A57" s="1" t="s">
        <v>127</v>
      </c>
      <c r="B57" s="1"/>
      <c r="C57" s="1">
        <f>ROUND((1/B55)^2,4)</f>
        <v>3.8E-3</v>
      </c>
      <c r="D57" s="1"/>
      <c r="E57" s="1" t="s">
        <v>84</v>
      </c>
      <c r="F57" s="1"/>
      <c r="G57" s="5">
        <f>ROUND(8*((8/D47)^12+(1/(F56+H56)^1.5))^(1/12),4)</f>
        <v>1.5299999999999999E-2</v>
      </c>
      <c r="H57" s="1"/>
      <c r="I57" s="1"/>
      <c r="J57" s="1"/>
      <c r="K57" s="1"/>
      <c r="L57" s="1"/>
      <c r="M57" s="1"/>
      <c r="N57" s="1"/>
      <c r="O57" s="1"/>
    </row>
    <row r="58" spans="1:20" ht="23.25">
      <c r="A58" s="1" t="s">
        <v>128</v>
      </c>
      <c r="B58" s="1"/>
      <c r="C58" s="1">
        <f>ROUND(4*C57,4)</f>
        <v>1.52E-2</v>
      </c>
      <c r="D58" s="1"/>
      <c r="E58" s="1" t="s">
        <v>87</v>
      </c>
      <c r="F58" s="1"/>
      <c r="G58" s="5">
        <f>G57/4</f>
        <v>3.8249999999999998E-3</v>
      </c>
      <c r="H58" s="1"/>
      <c r="I58" s="1"/>
      <c r="J58" s="1"/>
      <c r="K58" s="1"/>
      <c r="L58" s="1"/>
      <c r="M58" s="1"/>
      <c r="N58" s="1"/>
      <c r="O58" s="1"/>
    </row>
    <row r="59" spans="1:20" ht="20.25">
      <c r="A59" s="1" t="s">
        <v>78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20" ht="2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20" ht="20.25">
      <c r="A61" s="1" t="s">
        <v>73</v>
      </c>
      <c r="B61" s="1"/>
      <c r="C61" s="1">
        <f>ROUND(C58*D14*12/D18,4)</f>
        <v>24.0594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20" ht="2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20" ht="20.25">
      <c r="A63" s="1" t="s">
        <v>111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20" ht="2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23.25">
      <c r="A65" s="1" t="s">
        <v>129</v>
      </c>
      <c r="B65" s="1"/>
      <c r="C65" s="1"/>
      <c r="D65" s="1">
        <f>C61+M83</f>
        <v>24.0594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2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23.25">
      <c r="A67" s="1" t="s">
        <v>130</v>
      </c>
      <c r="B67" s="1" t="s">
        <v>76</v>
      </c>
      <c r="C67" s="1"/>
      <c r="D67" s="1"/>
      <c r="E67" s="1"/>
      <c r="F67" s="4"/>
      <c r="G67" s="4"/>
      <c r="H67" s="1"/>
      <c r="I67" s="1"/>
      <c r="J67" s="1"/>
      <c r="K67" s="1"/>
      <c r="L67" s="1"/>
      <c r="M67" s="1"/>
      <c r="N67" s="1"/>
      <c r="O67" s="1"/>
    </row>
    <row r="68" spans="1:15" ht="20.25">
      <c r="A68" s="1"/>
      <c r="B68" s="1"/>
      <c r="C68" s="1"/>
      <c r="D68" s="1"/>
      <c r="E68" s="1"/>
      <c r="F68" s="4"/>
      <c r="G68" s="4"/>
      <c r="H68" s="1"/>
      <c r="I68" s="1"/>
      <c r="J68" s="1"/>
      <c r="K68" s="1"/>
      <c r="L68" s="1"/>
      <c r="M68" s="1"/>
      <c r="N68" s="1"/>
      <c r="O68" s="1"/>
    </row>
    <row r="69" spans="1:15" ht="20.25">
      <c r="A69" s="1" t="s">
        <v>103</v>
      </c>
      <c r="B69" s="1"/>
      <c r="C69" s="1"/>
      <c r="D69" s="1">
        <f>1335.6*D18^2</f>
        <v>49129.010910000005</v>
      </c>
      <c r="E69" s="1"/>
      <c r="F69" s="6"/>
      <c r="G69" s="6"/>
      <c r="H69" s="1"/>
      <c r="I69" s="1"/>
      <c r="J69" s="1"/>
      <c r="K69" s="1"/>
      <c r="L69" s="1"/>
      <c r="M69" s="1"/>
      <c r="N69" s="1"/>
      <c r="O69" s="1"/>
    </row>
    <row r="70" spans="1:15" ht="20.25">
      <c r="A70" s="1"/>
      <c r="B70" s="1"/>
      <c r="C70" s="1"/>
      <c r="D70" s="1"/>
      <c r="E70" s="1"/>
      <c r="F70" s="6"/>
      <c r="G70" s="6"/>
      <c r="H70" s="1"/>
      <c r="I70" s="1"/>
      <c r="J70" s="1"/>
      <c r="K70" s="1"/>
      <c r="L70" s="1"/>
      <c r="M70" s="1"/>
      <c r="N70" s="1"/>
      <c r="O70" s="1"/>
    </row>
    <row r="71" spans="1:15" ht="20.25">
      <c r="A71" s="1" t="s">
        <v>74</v>
      </c>
      <c r="B71" s="1"/>
      <c r="C71" s="1"/>
      <c r="D71" s="1">
        <f>(D16/D69)^2</f>
        <v>0.2386417591920163</v>
      </c>
      <c r="E71" s="4"/>
      <c r="F71" s="6"/>
      <c r="G71" s="6"/>
      <c r="H71" s="1"/>
      <c r="I71" s="1"/>
      <c r="J71" s="1"/>
      <c r="K71" s="1"/>
      <c r="L71" s="1"/>
      <c r="M71" s="1"/>
      <c r="N71" s="1"/>
      <c r="O71" s="1"/>
    </row>
    <row r="72" spans="1:15" ht="20.25">
      <c r="A72" s="4"/>
      <c r="B72" s="4"/>
      <c r="C72" s="1"/>
      <c r="D72" s="4"/>
      <c r="E72" s="4"/>
      <c r="F72" s="6"/>
      <c r="G72" s="6"/>
      <c r="H72" s="4"/>
      <c r="I72" s="4"/>
      <c r="J72" s="1"/>
      <c r="K72" s="1"/>
      <c r="L72" s="1"/>
      <c r="M72" s="1"/>
      <c r="N72" s="1"/>
      <c r="O72" s="1"/>
    </row>
    <row r="73" spans="1:15" ht="23.25">
      <c r="A73" s="7" t="s">
        <v>131</v>
      </c>
      <c r="B73" s="4"/>
      <c r="C73" s="1"/>
      <c r="D73" s="8">
        <v>20.853096149261329</v>
      </c>
      <c r="E73" s="4" t="s">
        <v>102</v>
      </c>
      <c r="F73" s="6"/>
      <c r="G73" s="4"/>
      <c r="H73" s="4"/>
      <c r="I73" s="4"/>
      <c r="J73" s="1"/>
      <c r="K73" s="1"/>
      <c r="L73" s="1"/>
      <c r="M73" s="1"/>
      <c r="N73" s="1"/>
      <c r="O73" s="1"/>
    </row>
    <row r="74" spans="1:15" ht="20.25">
      <c r="A74" s="4"/>
      <c r="B74" s="4"/>
      <c r="C74" s="4"/>
      <c r="D74" s="4"/>
      <c r="E74" s="4"/>
      <c r="F74" s="4"/>
      <c r="G74" s="4"/>
      <c r="H74" s="4"/>
      <c r="I74" s="4"/>
      <c r="J74" s="1"/>
      <c r="K74" s="1"/>
      <c r="L74" s="1"/>
      <c r="M74" s="1"/>
      <c r="N74" s="1"/>
      <c r="O74" s="1"/>
    </row>
    <row r="75" spans="1:15" ht="20.25">
      <c r="A75" s="4"/>
      <c r="B75" s="4"/>
      <c r="C75" s="4"/>
      <c r="D75" s="4"/>
      <c r="E75" s="4"/>
      <c r="F75" s="4"/>
      <c r="G75" s="4"/>
      <c r="H75" s="4"/>
      <c r="I75" s="4"/>
      <c r="J75" s="1"/>
      <c r="K75" s="1"/>
      <c r="L75" s="1"/>
      <c r="M75" s="1"/>
      <c r="N75" s="1"/>
      <c r="O75" s="1"/>
    </row>
    <row r="76" spans="1:15" ht="20.25">
      <c r="A76" s="4" t="s">
        <v>77</v>
      </c>
      <c r="B76" s="4"/>
      <c r="C76" s="1"/>
      <c r="D76" s="1">
        <f>SQRT(D15^2-(D15*D71*D65/D33))-D73</f>
        <v>0</v>
      </c>
      <c r="E76" s="4"/>
      <c r="F76" s="4"/>
      <c r="G76" s="4"/>
      <c r="H76" s="4"/>
      <c r="I76" s="4"/>
      <c r="J76" s="1"/>
      <c r="K76" s="1"/>
      <c r="L76" s="1"/>
      <c r="M76" s="1"/>
      <c r="N76" s="1"/>
      <c r="O76" s="1"/>
    </row>
    <row r="77" spans="1:15" ht="2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1"/>
    </row>
    <row r="78" spans="1:15" ht="20.25">
      <c r="A78" s="4" t="s">
        <v>75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1"/>
    </row>
    <row r="79" spans="1:15" ht="20.25">
      <c r="A79" s="4"/>
      <c r="B79" s="4"/>
      <c r="C79" s="4"/>
      <c r="D79" s="4"/>
      <c r="E79" s="4"/>
      <c r="F79" s="4"/>
      <c r="G79" s="4"/>
      <c r="H79" s="6"/>
      <c r="I79" s="6"/>
      <c r="J79" s="6"/>
      <c r="K79" s="6"/>
      <c r="L79" s="6"/>
      <c r="M79" s="6"/>
      <c r="N79" s="4"/>
      <c r="O79" s="1"/>
    </row>
    <row r="80" spans="1:15" ht="20.25">
      <c r="A80" s="4"/>
      <c r="B80" s="4"/>
      <c r="C80" s="4"/>
      <c r="D80" s="4"/>
      <c r="E80" s="4"/>
      <c r="F80" s="4"/>
      <c r="G80" s="4"/>
      <c r="H80" s="6"/>
      <c r="I80" s="6"/>
      <c r="J80" s="6"/>
      <c r="K80" s="6"/>
      <c r="L80" s="6"/>
      <c r="M80" s="4"/>
      <c r="N80" s="4"/>
      <c r="O80" s="1"/>
    </row>
    <row r="81" spans="1:15" ht="20.25">
      <c r="A81" s="4" t="s">
        <v>0</v>
      </c>
      <c r="B81" s="4"/>
      <c r="C81" s="1"/>
      <c r="D81" s="4">
        <f>ROUND((D15-D73),2)</f>
        <v>13.85</v>
      </c>
      <c r="E81" s="4" t="s">
        <v>102</v>
      </c>
      <c r="F81" s="4"/>
      <c r="G81" s="4"/>
      <c r="H81" s="6"/>
      <c r="I81" s="6"/>
      <c r="J81" s="6"/>
      <c r="K81" s="6"/>
      <c r="L81" s="6"/>
      <c r="M81" s="4"/>
      <c r="N81" s="4"/>
      <c r="O81" s="1"/>
    </row>
    <row r="82" spans="1:15" ht="20.25">
      <c r="A82" s="4"/>
      <c r="B82" s="4"/>
      <c r="C82" s="4"/>
      <c r="D82" s="4"/>
      <c r="E82" s="4"/>
      <c r="F82" s="4"/>
      <c r="G82" s="4"/>
      <c r="H82" s="6"/>
      <c r="I82" s="6"/>
      <c r="J82" s="6"/>
      <c r="K82" s="6"/>
      <c r="L82" s="6"/>
      <c r="M82" s="4"/>
      <c r="N82" s="4"/>
      <c r="O82" s="1"/>
    </row>
    <row r="83" spans="1:15" ht="20.25">
      <c r="A83" s="1" t="s">
        <v>104</v>
      </c>
      <c r="B83" s="1"/>
      <c r="C83" s="1"/>
      <c r="D83" s="1">
        <f>ROUND(D16/(11400*D18^2)*SQRT((D30*D27)/(D11*(D11+1))),2)</f>
        <v>5.0599999999999996</v>
      </c>
      <c r="E83" s="1" t="s">
        <v>93</v>
      </c>
      <c r="F83" s="1"/>
      <c r="G83" s="1"/>
      <c r="H83" s="4"/>
      <c r="I83" s="4"/>
      <c r="J83" s="4"/>
      <c r="K83" s="4"/>
      <c r="L83" s="4"/>
      <c r="M83" s="4"/>
      <c r="N83" s="4"/>
      <c r="O83" s="1"/>
    </row>
    <row r="84" spans="1:15" ht="20.25">
      <c r="A84" s="1"/>
      <c r="B84" s="1"/>
      <c r="C84" s="1"/>
      <c r="D84" s="1"/>
      <c r="E84" s="1"/>
      <c r="F84" s="1"/>
      <c r="G84" s="1"/>
      <c r="H84" s="4"/>
      <c r="I84" s="4"/>
      <c r="J84" s="4"/>
      <c r="K84" s="4"/>
      <c r="L84" s="4"/>
      <c r="M84" s="4"/>
      <c r="N84" s="4"/>
      <c r="O84" s="1"/>
    </row>
    <row r="85" spans="1:15" ht="20.25">
      <c r="A85" s="1" t="s">
        <v>79</v>
      </c>
      <c r="B85" s="1"/>
      <c r="C85" s="1"/>
      <c r="D85" s="1"/>
      <c r="E85" s="1"/>
      <c r="F85" s="1"/>
      <c r="G85" s="1"/>
      <c r="H85" s="4"/>
      <c r="I85" s="4"/>
      <c r="J85" s="4"/>
      <c r="K85" s="4"/>
      <c r="L85" s="4"/>
      <c r="M85" s="4"/>
      <c r="N85" s="4"/>
      <c r="O85" s="1"/>
    </row>
    <row r="86" spans="1:15" ht="2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24">
      <c r="A87" s="1" t="s">
        <v>80</v>
      </c>
      <c r="B87" s="1"/>
      <c r="C87" s="1"/>
      <c r="D87" s="1">
        <f>D27</f>
        <v>550</v>
      </c>
      <c r="E87" s="3" t="s">
        <v>115</v>
      </c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2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20.25">
      <c r="A89" s="1" t="s">
        <v>109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2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24">
      <c r="A91" s="1"/>
      <c r="B91" s="1"/>
      <c r="C91" s="1"/>
      <c r="D91" s="1">
        <f>ROUND((D22*D73)/(10.72*D87),3)</f>
        <v>0.156</v>
      </c>
      <c r="E91" s="1" t="s">
        <v>117</v>
      </c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2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2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20.25">
      <c r="A95" s="1" t="s">
        <v>110</v>
      </c>
      <c r="B95" s="1"/>
      <c r="C95" s="1"/>
      <c r="D95" s="1">
        <f>ROUND(D16/(D91*D28*3600),2)</f>
        <v>213.04</v>
      </c>
      <c r="E95" s="1" t="s">
        <v>99</v>
      </c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2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23.25">
      <c r="A97" s="1" t="s">
        <v>132</v>
      </c>
      <c r="B97" s="1"/>
      <c r="C97" s="1"/>
      <c r="D97" s="1">
        <f>ROUND(1/SQRT(D11),4)</f>
        <v>0.9325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2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2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oleObjects>
    <oleObject progId="Equation.DSMT4" shapeId="1034" r:id="rId4"/>
    <oleObject progId="Equation.DSMT4" shapeId="1035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15-14</vt:lpstr>
      <vt:lpstr>Sheet2</vt:lpstr>
      <vt:lpstr>Sheet3</vt:lpstr>
    </vt:vector>
  </TitlesOfParts>
  <Company>AKC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JIC</dc:creator>
  <cp:lastModifiedBy>dell</cp:lastModifiedBy>
  <cp:lastPrinted>2006-11-19T16:07:22Z</cp:lastPrinted>
  <dcterms:created xsi:type="dcterms:W3CDTF">2000-11-06T18:18:05Z</dcterms:created>
  <dcterms:modified xsi:type="dcterms:W3CDTF">2017-10-05T15:59:48Z</dcterms:modified>
</cp:coreProperties>
</file>